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annah.vollert\Desktop\"/>
    </mc:Choice>
  </mc:AlternateContent>
  <xr:revisionPtr revIDLastSave="0" documentId="8_{C5AA22FF-7FD4-4FA3-A734-F0059B012E04}" xr6:coauthVersionLast="36" xr6:coauthVersionMax="36" xr10:uidLastSave="{00000000-0000-0000-0000-000000000000}"/>
  <bookViews>
    <workbookView xWindow="0" yWindow="0" windowWidth="28800" windowHeight="10725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F21" i="7" l="1"/>
  <c r="C27" i="7"/>
  <c r="C28" i="7"/>
  <c r="F12" i="7"/>
  <c r="H12" i="7"/>
  <c r="I12" i="7"/>
  <c r="J12" i="7"/>
  <c r="K12" i="7"/>
  <c r="L12" i="7"/>
  <c r="M12" i="7"/>
  <c r="N12" i="7"/>
  <c r="O12" i="7"/>
  <c r="P12" i="7"/>
  <c r="R12" i="7"/>
  <c r="S12" i="7"/>
  <c r="T12" i="7"/>
  <c r="U12" i="7"/>
  <c r="V12" i="7"/>
  <c r="W12" i="7"/>
  <c r="F13" i="7"/>
  <c r="H13" i="7"/>
  <c r="I13" i="7"/>
  <c r="J13" i="7"/>
  <c r="K13" i="7"/>
  <c r="L13" i="7"/>
  <c r="M13" i="7"/>
  <c r="N13" i="7"/>
  <c r="O13" i="7"/>
  <c r="P13" i="7"/>
  <c r="R13" i="7"/>
  <c r="S13" i="7"/>
  <c r="T13" i="7"/>
  <c r="U13" i="7"/>
  <c r="V13" i="7"/>
  <c r="W13" i="7"/>
  <c r="F14" i="7"/>
  <c r="H14" i="7"/>
  <c r="I14" i="7"/>
  <c r="J14" i="7"/>
  <c r="K14" i="7"/>
  <c r="L14" i="7"/>
  <c r="M14" i="7"/>
  <c r="N14" i="7"/>
  <c r="O14" i="7"/>
  <c r="P14" i="7"/>
  <c r="R14" i="7"/>
  <c r="S14" i="7"/>
  <c r="T14" i="7"/>
  <c r="U14" i="7"/>
  <c r="V14" i="7"/>
  <c r="W14" i="7"/>
  <c r="F15" i="7"/>
  <c r="H15" i="7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F16" i="7"/>
  <c r="H16" i="7"/>
  <c r="I16" i="7"/>
  <c r="J16" i="7"/>
  <c r="K16" i="7"/>
  <c r="L16" i="7"/>
  <c r="M16" i="7"/>
  <c r="N16" i="7"/>
  <c r="O16" i="7"/>
  <c r="P16" i="7"/>
  <c r="R16" i="7"/>
  <c r="S16" i="7"/>
  <c r="T16" i="7"/>
  <c r="U16" i="7"/>
  <c r="V16" i="7"/>
  <c r="W16" i="7"/>
  <c r="F17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F18" i="7"/>
  <c r="H18" i="7"/>
  <c r="I18" i="7"/>
  <c r="J18" i="7"/>
  <c r="K18" i="7"/>
  <c r="L18" i="7"/>
  <c r="M18" i="7"/>
  <c r="N18" i="7"/>
  <c r="O18" i="7"/>
  <c r="P18" i="7"/>
  <c r="R18" i="7"/>
  <c r="S18" i="7"/>
  <c r="T18" i="7"/>
  <c r="U18" i="7"/>
  <c r="V18" i="7"/>
  <c r="W18" i="7"/>
  <c r="F19" i="7"/>
  <c r="H19" i="7"/>
  <c r="I19" i="7"/>
  <c r="J19" i="7"/>
  <c r="K19" i="7"/>
  <c r="L19" i="7"/>
  <c r="M19" i="7"/>
  <c r="N19" i="7"/>
  <c r="O19" i="7"/>
  <c r="P19" i="7"/>
  <c r="R19" i="7"/>
  <c r="S19" i="7"/>
  <c r="T19" i="7"/>
  <c r="U19" i="7"/>
  <c r="V19" i="7"/>
  <c r="W19" i="7"/>
  <c r="F20" i="7"/>
  <c r="H20" i="7"/>
  <c r="I20" i="7"/>
  <c r="J20" i="7"/>
  <c r="K20" i="7"/>
  <c r="L20" i="7"/>
  <c r="M20" i="7"/>
  <c r="N20" i="7"/>
  <c r="O20" i="7"/>
  <c r="P20" i="7"/>
  <c r="R20" i="7"/>
  <c r="S20" i="7"/>
  <c r="T20" i="7"/>
  <c r="U20" i="7"/>
  <c r="V20" i="7"/>
  <c r="W20" i="7"/>
  <c r="H21" i="7"/>
  <c r="I21" i="7"/>
  <c r="J21" i="7"/>
  <c r="K21" i="7"/>
  <c r="L21" i="7"/>
  <c r="M21" i="7"/>
  <c r="N21" i="7"/>
  <c r="O21" i="7"/>
  <c r="P21" i="7"/>
  <c r="R21" i="7"/>
  <c r="S21" i="7"/>
  <c r="T21" i="7"/>
  <c r="U21" i="7"/>
  <c r="V21" i="7"/>
  <c r="W21" i="7"/>
  <c r="F22" i="7"/>
  <c r="H22" i="7"/>
  <c r="I22" i="7"/>
  <c r="J22" i="7"/>
  <c r="K22" i="7"/>
  <c r="L22" i="7"/>
  <c r="M22" i="7"/>
  <c r="N22" i="7"/>
  <c r="O22" i="7"/>
  <c r="P22" i="7"/>
  <c r="R22" i="7"/>
  <c r="S22" i="7"/>
  <c r="T22" i="7"/>
  <c r="U22" i="7"/>
  <c r="V22" i="7"/>
  <c r="W22" i="7"/>
  <c r="F23" i="7"/>
  <c r="H23" i="7"/>
  <c r="I23" i="7"/>
  <c r="J23" i="7"/>
  <c r="K23" i="7"/>
  <c r="L23" i="7"/>
  <c r="M23" i="7"/>
  <c r="N23" i="7"/>
  <c r="O23" i="7"/>
  <c r="P23" i="7"/>
  <c r="R23" i="7"/>
  <c r="S23" i="7"/>
  <c r="T23" i="7"/>
  <c r="U23" i="7"/>
  <c r="V23" i="7"/>
  <c r="W23" i="7"/>
  <c r="X19" i="7" l="1"/>
  <c r="X15" i="7"/>
  <c r="X16" i="7"/>
  <c r="Q22" i="7"/>
  <c r="Q21" i="7"/>
  <c r="Q18" i="7"/>
  <c r="Q17" i="7"/>
  <c r="X21" i="7"/>
  <c r="Q13" i="7"/>
  <c r="Q12" i="7"/>
  <c r="X17" i="7"/>
  <c r="X23" i="7"/>
  <c r="Q23" i="7"/>
  <c r="X22" i="7"/>
  <c r="Q20" i="7"/>
  <c r="X18" i="7"/>
  <c r="Q14" i="7"/>
  <c r="Q19" i="7"/>
  <c r="Q16" i="7"/>
  <c r="X14" i="7"/>
  <c r="X13" i="7"/>
  <c r="Q15" i="7"/>
  <c r="X20" i="7"/>
  <c r="X12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31" i="7"/>
  <c r="C32" i="7"/>
  <c r="C16" i="7"/>
  <c r="C34" i="7"/>
  <c r="C15" i="7"/>
  <c r="C39" i="7"/>
  <c r="C36" i="7"/>
  <c r="C17" i="7"/>
  <c r="C33" i="7"/>
  <c r="C22" i="7"/>
  <c r="C38" i="7"/>
  <c r="C30" i="7"/>
  <c r="C13" i="7"/>
  <c r="C23" i="7"/>
  <c r="C18" i="7"/>
  <c r="C35" i="7"/>
  <c r="C21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<sst xmlns="http://schemas.openxmlformats.org/spreadsheetml/2006/main" count="1392" uniqueCount="678">
  <si>
    <t>A</t>
  </si>
  <si>
    <t>B</t>
  </si>
  <si>
    <t>C</t>
  </si>
  <si>
    <t>D</t>
  </si>
  <si>
    <t>DE_HEF03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</si>
  <si>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</si>
  <si>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</si>
  <si>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</si>
  <si>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</si>
  <si>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</si>
  <si>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</si>
  <si>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</si>
  <si>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</si>
  <si>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</si>
  <si>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</si>
  <si>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</si>
  <si>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</si>
  <si>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</si>
  <si>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</si>
  <si>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</si>
  <si>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</si>
  <si>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</si>
  <si>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</si>
  <si>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</si>
  <si>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</si>
  <si>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</si>
  <si>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</si>
  <si>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</si>
  <si>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</si>
  <si>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</si>
  <si>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</si>
  <si>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</si>
  <si>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</si>
  <si>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</si>
  <si>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</si>
  <si>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</si>
  <si>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</si>
  <si>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</si>
  <si>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</si>
  <si>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</si>
  <si>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</si>
  <si>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</si>
  <si>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</si>
  <si>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</si>
  <si>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</si>
  <si>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</si>
  <si>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</si>
  <si>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</si>
  <si>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</si>
  <si>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</si>
  <si>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</si>
  <si>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</si>
  <si>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</si>
  <si>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</si>
  <si>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</si>
  <si>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</si>
  <si>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</si>
  <si>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</si>
  <si>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</si>
  <si>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</si>
  <si>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</si>
  <si>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</si>
  <si>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</si>
  <si>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</si>
  <si>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</si>
  <si>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</si>
  <si>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</si>
  <si>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</si>
  <si>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</si>
  <si>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</si>
  <si>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</si>
  <si>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</si>
  <si>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</si>
  <si>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</si>
  <si>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</si>
  <si>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</si>
  <si>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</si>
  <si>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</si>
  <si>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</si>
  <si>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</si>
  <si>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</si>
  <si>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</si>
  <si>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</si>
  <si>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</si>
  <si>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</si>
  <si>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</si>
  <si>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</si>
  <si>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</si>
  <si>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</si>
  <si>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</si>
  <si>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</si>
  <si>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</si>
  <si>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</si>
  <si>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</si>
  <si>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</si>
  <si>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</si>
  <si>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</si>
  <si>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</si>
  <si>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</si>
  <si>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</si>
  <si>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</si>
  <si>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</si>
  <si>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</si>
  <si>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</si>
  <si>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</si>
  <si>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</si>
  <si>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</si>
  <si>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</si>
  <si>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</si>
  <si>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</si>
  <si>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</si>
  <si>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</si>
  <si>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</si>
  <si>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</si>
  <si>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</si>
  <si>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</si>
  <si>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</si>
  <si>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</si>
  <si>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</si>
  <si>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</si>
  <si>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</si>
  <si>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</si>
  <si>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</si>
  <si>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</si>
  <si>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</si>
  <si>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</si>
  <si>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</si>
  <si>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</si>
  <si>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</si>
  <si>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</si>
  <si>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</si>
  <si>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</si>
  <si>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</si>
  <si>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</si>
  <si>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</si>
  <si>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</si>
  <si>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</si>
  <si>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</si>
  <si>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</si>
  <si>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</si>
  <si>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</si>
  <si>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</si>
  <si>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</si>
  <si>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</si>
  <si>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</si>
  <si>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</si>
  <si>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</si>
  <si>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</si>
  <si>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</si>
  <si>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</si>
  <si>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</si>
  <si>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</si>
  <si>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</si>
  <si>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</si>
  <si>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</si>
  <si>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</si>
  <si>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</si>
  <si>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</si>
  <si>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</si>
  <si>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</si>
  <si>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</si>
  <si>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</si>
  <si>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</si>
  <si>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</si>
  <si>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</si>
  <si>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</si>
  <si>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</si>
  <si>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</si>
  <si>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</si>
  <si>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</si>
  <si>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</si>
  <si>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</si>
  <si>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</si>
  <si>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</si>
  <si>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</si>
  <si>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</si>
  <si>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</si>
  <si>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</si>
  <si>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</si>
  <si>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</si>
  <si>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</si>
  <si>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</si>
  <si>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</si>
  <si>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</si>
  <si>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</si>
  <si>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</si>
  <si>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</si>
  <si>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</si>
  <si>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</si>
  <si>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</si>
  <si>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</si>
  <si>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</si>
  <si>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</si>
  <si>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</si>
  <si>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</si>
  <si>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</si>
  <si>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</si>
  <si>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</si>
  <si>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</si>
  <si>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</si>
  <si>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</si>
  <si>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</si>
  <si>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</si>
  <si>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</si>
  <si>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</si>
  <si>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</si>
  <si>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</si>
  <si>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</si>
  <si>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</si>
  <si>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</si>
  <si>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</si>
  <si>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</si>
  <si>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</si>
  <si>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</si>
  <si>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</si>
  <si>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</si>
  <si>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</si>
  <si>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</si>
  <si>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</si>
  <si>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</si>
  <si>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</si>
  <si>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</si>
  <si>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</si>
  <si>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</si>
  <si>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</si>
  <si>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</si>
  <si>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</si>
  <si>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</si>
  <si>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</si>
  <si>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</si>
  <si>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</si>
  <si>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</si>
  <si>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</si>
  <si>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</si>
  <si>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</si>
  <si>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</si>
  <si>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</si>
  <si>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</si>
  <si>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</si>
  <si>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</si>
  <si>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</si>
  <si>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</si>
  <si>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</si>
  <si>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</si>
  <si>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</si>
  <si>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</si>
  <si>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</si>
  <si>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</si>
  <si>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</si>
  <si>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</si>
  <si>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</si>
  <si>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</si>
  <si>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</si>
  <si>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</si>
  <si>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</si>
  <si>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</si>
  <si>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</si>
  <si>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</si>
  <si>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</si>
  <si>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</si>
  <si>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</si>
  <si>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</si>
  <si>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</si>
  <si>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</si>
  <si>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</si>
  <si>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</si>
  <si>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</si>
  <si>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</si>
  <si>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</si>
  <si>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</si>
  <si>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</si>
  <si>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</si>
  <si>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</si>
  <si>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</si>
  <si>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</si>
  <si>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</si>
  <si>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</si>
  <si>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</si>
  <si>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</si>
  <si>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</si>
  <si>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</si>
  <si>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</si>
  <si>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</si>
  <si>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</si>
  <si>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</si>
  <si>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</si>
  <si>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</si>
  <si>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</si>
  <si>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</si>
  <si>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</si>
  <si>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</si>
  <si>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</si>
  <si>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</si>
  <si>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</si>
  <si>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</si>
  <si>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</si>
  <si>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</si>
  <si>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</si>
  <si>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</si>
  <si>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</si>
  <si>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</si>
  <si>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</si>
  <si>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</si>
  <si>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</si>
  <si>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</si>
  <si>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</si>
  <si>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</si>
  <si>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</si>
  <si>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</si>
  <si>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</si>
  <si>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</si>
  <si>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</si>
  <si>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</si>
  <si>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</si>
  <si>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</si>
  <si>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</si>
  <si>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</si>
  <si>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</si>
  <si>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</si>
  <si>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</si>
  <si>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</si>
  <si>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</si>
  <si>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</si>
  <si>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</si>
  <si>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</si>
  <si>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</si>
  <si>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</si>
  <si>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</si>
  <si>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</si>
  <si>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</si>
  <si>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</si>
  <si>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</si>
  <si>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</si>
  <si>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</si>
  <si>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</si>
  <si>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</si>
  <si>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</si>
  <si>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</si>
  <si>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</si>
  <si>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</si>
  <si>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</si>
  <si>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</si>
  <si>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</si>
  <si>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</si>
  <si>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</si>
  <si>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</si>
  <si>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</si>
  <si>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</si>
  <si>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</si>
  <si>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</si>
  <si>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</si>
  <si>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</si>
  <si>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</si>
  <si>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</si>
  <si>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</si>
  <si>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</si>
  <si>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</si>
  <si>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</si>
  <si>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</si>
  <si>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</si>
  <si>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</si>
  <si>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</si>
  <si>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</si>
  <si>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</si>
  <si>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</si>
  <si>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</si>
  <si>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</si>
  <si>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</si>
  <si>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</si>
  <si>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</si>
  <si>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</si>
  <si>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</si>
  <si>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</si>
  <si>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</si>
  <si>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</si>
  <si>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</si>
  <si>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</si>
  <si>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</si>
  <si>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</si>
  <si>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</si>
  <si>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</si>
  <si>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</si>
  <si>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</si>
  <si>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</si>
  <si>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</si>
  <si>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</si>
  <si>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</si>
  <si>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</si>
  <si>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</si>
  <si>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</si>
  <si>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</si>
  <si>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</si>
  <si>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</si>
  <si>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</si>
  <si>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</si>
  <si>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</si>
  <si>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</si>
  <si>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</si>
  <si>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</si>
  <si>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</si>
  <si>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</si>
  <si>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</si>
  <si>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</si>
  <si>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</si>
  <si>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</si>
  <si>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</si>
  <si>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</si>
  <si>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</si>
  <si>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</si>
  <si>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</si>
  <si>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</si>
  <si>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</si>
  <si>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</si>
  <si>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</si>
  <si>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</si>
  <si>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</si>
  <si>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</si>
  <si>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</si>
  <si>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</si>
  <si>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</si>
  <si>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</si>
  <si>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</si>
  <si>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</si>
  <si>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</si>
  <si>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</si>
  <si>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</si>
  <si>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</si>
  <si>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</si>
  <si>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</si>
  <si>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</si>
  <si>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</si>
  <si>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</si>
  <si>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</si>
  <si>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</si>
  <si>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</si>
  <si>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</si>
  <si>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</si>
  <si>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</si>
  <si>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</si>
  <si>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</si>
  <si>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</si>
  <si>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</si>
  <si>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</si>
  <si>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</si>
  <si>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</si>
  <si>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</si>
  <si>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</si>
  <si>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</si>
  <si>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</si>
  <si>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</si>
  <si>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</si>
  <si>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</si>
  <si>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</si>
  <si>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</si>
  <si>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</si>
  <si>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</si>
  <si>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</si>
  <si>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</si>
  <si>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</si>
  <si>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</si>
  <si>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</si>
  <si>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</si>
  <si>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</si>
  <si>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</si>
  <si>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</si>
  <si>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</si>
  <si>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</si>
  <si>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</si>
  <si>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</si>
  <si>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</si>
  <si>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</si>
  <si>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</si>
  <si>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</si>
  <si>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</si>
  <si>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</si>
  <si>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</si>
  <si>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</si>
  <si>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</si>
  <si>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</si>
  <si>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</si>
  <si>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</si>
  <si>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</si>
  <si>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</si>
  <si>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</si>
  <si>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</si>
  <si>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</si>
  <si>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</si>
  <si>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</si>
  <si>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</si>
  <si>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</si>
  <si>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</si>
  <si>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</si>
  <si>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</si>
  <si>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</si>
  <si>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</si>
  <si>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</si>
  <si>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</si>
  <si>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</si>
  <si>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</si>
  <si>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</si>
  <si>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</si>
  <si>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</si>
  <si>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</si>
  <si>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</si>
  <si>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</si>
  <si>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</si>
  <si>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</si>
  <si>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</si>
  <si>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</si>
  <si>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</si>
  <si>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</si>
  <si>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</si>
  <si>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</si>
  <si>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</si>
  <si>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</si>
  <si>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</si>
  <si>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</si>
  <si>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</si>
  <si>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</si>
  <si>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</si>
  <si>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</si>
  <si>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</si>
  <si>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</si>
  <si>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</si>
  <si>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</si>
  <si>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</si>
  <si>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</si>
  <si>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</si>
  <si>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</si>
  <si>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</si>
  <si>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</si>
  <si>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</si>
  <si>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</si>
  <si>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</si>
  <si>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</si>
  <si>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</si>
  <si>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</si>
  <si>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</si>
  <si>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</si>
  <si>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</si>
  <si>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</si>
  <si>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</si>
  <si>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</si>
  <si>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</si>
  <si>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</si>
  <si>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</si>
  <si>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</si>
  <si>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</si>
  <si>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</si>
  <si>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</si>
  <si>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</si>
  <si>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</si>
  <si>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</si>
  <si>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</si>
  <si>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</si>
  <si>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</si>
  <si>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</si>
  <si>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</si>
  <si>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</si>
  <si>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</si>
  <si>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</si>
  <si>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</si>
  <si>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</si>
  <si>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</si>
  <si>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</si>
  <si>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</si>
  <si>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</si>
  <si>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</si>
  <si>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</si>
  <si>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</si>
  <si>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</si>
  <si>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</si>
  <si>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</si>
  <si>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</si>
  <si>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</si>
  <si>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</si>
  <si>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</si>
  <si>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</si>
  <si>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</si>
  <si>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</si>
  <si>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</si>
  <si>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</si>
  <si>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</si>
  <si>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</si>
  <si>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</si>
  <si>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</si>
  <si>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</si>
  <si>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</si>
  <si>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</si>
  <si>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</si>
  <si>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</si>
  <si>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</si>
  <si>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</si>
  <si>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</si>
  <si>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</si>
  <si>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</si>
  <si>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</si>
  <si>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</si>
  <si>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</si>
  <si>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</si>
  <si>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</si>
  <si>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</si>
  <si>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</si>
  <si>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</si>
  <si>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</si>
  <si>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</si>
  <si>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</si>
  <si>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</si>
  <si>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</si>
  <si>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</si>
  <si>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</si>
  <si>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</si>
  <si>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</si>
  <si>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</si>
  <si>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</si>
  <si>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</si>
  <si>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</si>
  <si>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</si>
  <si>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</si>
  <si>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</si>
  <si>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</si>
  <si>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</si>
  <si>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</si>
  <si>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</si>
  <si>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</si>
  <si>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</si>
  <si>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</si>
  <si>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</si>
  <si>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</si>
  <si>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</si>
  <si>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</si>
  <si>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</si>
  <si>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</si>
  <si>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</si>
  <si>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</si>
  <si>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</si>
  <si>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</si>
  <si>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</si>
  <si>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</si>
  <si>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</si>
  <si>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</si>
  <si>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</si>
  <si>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</si>
  <si>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</si>
  <si>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</si>
  <si>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</si>
  <si>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</si>
  <si>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</si>
  <si>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</si>
  <si>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</si>
  <si>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</si>
  <si>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</si>
  <si>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</si>
  <si>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</si>
  <si>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</si>
  <si>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</si>
  <si>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</si>
  <si>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 Haßfurt GmbH</t>
  </si>
  <si>
    <t>Augsfelder Str. 6</t>
  </si>
  <si>
    <t>Haßfurt</t>
  </si>
  <si>
    <t>Nadja Fambach</t>
  </si>
  <si>
    <t>nadja.fambach@stwhas.de</t>
  </si>
  <si>
    <t>09521/9494-388</t>
  </si>
  <si>
    <t>Stadtwerk Haßfurt Netzgebiet 1</t>
  </si>
  <si>
    <t>THE0BFH007230000</t>
  </si>
  <si>
    <t>Stadt Haßfurt</t>
  </si>
  <si>
    <t xml:space="preserve">meteopower </t>
  </si>
  <si>
    <t>Nürnberg-Flughafen</t>
  </si>
  <si>
    <t>DE_GPD03</t>
  </si>
  <si>
    <t>DE_GHA03</t>
  </si>
  <si>
    <t>DE_GMK03</t>
  </si>
  <si>
    <t>DE_GKO03</t>
  </si>
  <si>
    <t>DE_GBD03</t>
  </si>
  <si>
    <t>DE_GGA03</t>
  </si>
  <si>
    <t>DE_GBH03</t>
  </si>
  <si>
    <t>DE_GWA03</t>
  </si>
  <si>
    <t>DE_GGB03</t>
  </si>
  <si>
    <t>DE_GBA03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</si>
</sst>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dja.fambach@stwha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0" zoomScaleNormal="90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2" sqref="D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44835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>
        <v>9870029700001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97437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2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Stadtwerk Haßfurt Netzgebiet 1</v>
      </c>
      <c r="E28" s="38"/>
      <c r="F28" s="11"/>
      <c r="G28" s="2"/>
    </row>
    <row r="29" spans="1:15">
      <c r="B29" s="15"/>
      <c r="C29" s="22" t="s">
        <v>393</v>
      </c>
      <c r="D29" s="44" t="s">
        <v>663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43" sqref="D4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 Haßfurt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Stadtwerk Haßfurt Netzgebiet 1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>
        <f>Netzbetreiber!$D$11</f>
        <v>9870029700001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44835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12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665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45:D59">
    <cfRule type="expression" dxfId="54" priority="17">
      <formula>IF(CELL("Zeile",D45)&lt;$D$43+CELL("Zeile",$D$45),1,0)</formula>
    </cfRule>
  </conditionalFormatting>
  <conditionalFormatting sqref="D46:D59">
    <cfRule type="expression" dxfId="53" priority="16">
      <formula>IF(CELL(D46)&lt;$D$33+27,1,0)</formula>
    </cfRule>
  </conditionalFormatting>
  <conditionalFormatting sqref="D20">
    <cfRule type="expression" dxfId="52" priority="15">
      <formula>IF($D$19=$H$19,1,0)</formula>
    </cfRule>
  </conditionalFormatting>
  <conditionalFormatting sqref="D28">
    <cfRule type="expression" dxfId="51" priority="4">
      <formula>IF($D$15="synthetisch",1,0)</formula>
    </cfRule>
  </conditionalFormatting>
  <conditionalFormatting sqref="D25">
    <cfRule type="expression" dxfId="50" priority="2">
      <formula>IF(AND($D$24=$I$24,$D$23=$H$23),1,0)</formula>
    </cfRule>
  </conditionalFormatting>
  <conditionalFormatting sqref="D23:D25">
    <cfRule type="expression" dxfId="49" priority="5">
      <formula>IF($D$15="analytisch",1,0)</formula>
    </cfRule>
  </conditionalFormatting>
  <conditionalFormatting sqref="D24">
    <cfRule type="expression" dxfId="48" priority="3">
      <formula>IF($D$23="nein",1)</formula>
    </cfRule>
  </conditionalFormatting>
  <conditionalFormatting sqref="D13">
    <cfRule type="expression" dxfId="47" priority="1">
      <formula>IF($D$11="Gaspool",1,0)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25" zoomScaleNormal="10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Stadtwerk Haßfurt Netzgebiet 1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Stadt Haßfurt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584</v>
      </c>
      <c r="D13" s="353"/>
      <c r="E13" s="35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445</v>
      </c>
      <c r="D14" s="354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4" t="s">
        <v>385</v>
      </c>
      <c r="D15" s="354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666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666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 xml:space="preserve">meteopower 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667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10763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2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0.66670000000000007</v>
      </c>
      <c r="F32" s="287">
        <f>ROUND(F33/$D$33,4)</f>
        <v>0.33329999999999999</v>
      </c>
      <c r="G32" s="287">
        <f t="shared" ref="G32:N32" si="3">ROUND(G33/$D$33,4)</f>
        <v>0.16669999999999999</v>
      </c>
      <c r="H32" s="287">
        <f t="shared" si="3"/>
        <v>8.3299999999999999E-2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1.5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 xml:space="preserve">meteopower 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Nürnberg-Flughafen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10763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2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>
        <f>1-SUMPRODUCT(F64:N64,F66:N66)</f>
        <v>0.66670000000000007</v>
      </c>
      <c r="F66" s="287">
        <f>ROUND(F67/$D$67,4)</f>
        <v>0.33329999999999999</v>
      </c>
      <c r="G66" s="287">
        <f t="shared" ref="G66:N66" si="12">ROUND(G67/$D$67,4)</f>
        <v>0.16669999999999999</v>
      </c>
      <c r="H66" s="287">
        <f t="shared" si="12"/>
        <v>8.3299999999999999E-2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1.5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5" t="s">
        <v>579</v>
      </c>
      <c r="D73" s="355"/>
      <c r="E73" s="355"/>
      <c r="F73" s="355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Stadtwerk Haßfurt Netzgebiet 1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584</v>
      </c>
      <c r="D13" s="353"/>
      <c r="E13" s="35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445</v>
      </c>
      <c r="D14" s="354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4" t="s">
        <v>385</v>
      </c>
      <c r="D15" s="354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5" t="s">
        <v>579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S25" sqref="S2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 Haßfurt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Stadtwerk Haßfurt Netzgebiet 1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9870029700001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44835</v>
      </c>
      <c r="E8" s="130"/>
      <c r="F8" s="130"/>
      <c r="H8" s="128" t="s">
        <v>493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4</v>
      </c>
      <c r="F11" s="30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Stadtwerk Haßfurt Netzgebiet 1</v>
      </c>
      <c r="D12" s="62" t="s">
        <v>248</v>
      </c>
      <c r="E12" s="165" t="s">
        <v>4</v>
      </c>
      <c r="F12" s="307" t="str">
        <f>VLOOKUP($E12,'BDEW-Standard'!$B$3:$M$94,F$9,0)</f>
        <v>D13</v>
      </c>
      <c r="H12" s="278">
        <f>ROUND(VLOOKUP($E12,'BDEW-Standard'!$B$3:$M$94,H$9,0),7)</f>
        <v>3.0469694999999999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9.6193100000000004E-2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3" si="1">($H12/(1+($I12/($Q$9-$L12))^$J12)+$K12)+MAX($M12*$Q$9+$N12,$O12*$Q$9+$P12)</f>
        <v>1.0075192723557669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Stadtwerk Haßfurt Netzgebiet 1</v>
      </c>
      <c r="D13" s="62" t="s">
        <v>248</v>
      </c>
      <c r="E13" s="165" t="s">
        <v>583</v>
      </c>
      <c r="F13" s="307" t="str">
        <f>VLOOKUP($E13,'BDEW-Standard'!$B$3:$M$94,F$9,0)</f>
        <v>D23</v>
      </c>
      <c r="H13" s="278">
        <f>ROUND(VLOOKUP($E13,'BDEW-Standard'!$B$3:$M$94,H$9,0),7)</f>
        <v>2.3877617999999998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0.12081939999999999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1.0365184142102302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3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Stadtwerk Haßfurt Netzgebiet 1</v>
      </c>
      <c r="D14" s="62" t="s">
        <v>248</v>
      </c>
      <c r="E14" s="165" t="s">
        <v>669</v>
      </c>
      <c r="F14" s="307" t="str">
        <f>VLOOKUP($E14,'BDEW-Standard'!$B$3:$M$94,F$9,0)</f>
        <v>HA3</v>
      </c>
      <c r="H14" s="278">
        <f>ROUND(VLOOKUP($E14,'BDEW-Standard'!$B$3:$M$94,H$9,0),7)</f>
        <v>3.5811213999999998</v>
      </c>
      <c r="I14" s="278">
        <f>ROUND(VLOOKUP($E14,'BDEW-Standard'!$B$3:$M$94,I$9,0),7)</f>
        <v>-36.965006500000001</v>
      </c>
      <c r="J14" s="278">
        <f>ROUND(VLOOKUP($E14,'BDEW-Standard'!$B$3:$M$94,J$9,0),7)</f>
        <v>7.2256947</v>
      </c>
      <c r="K14" s="278">
        <f>ROUND(VLOOKUP($E14,'BDEW-Standard'!$B$3:$M$94,K$9,0),7)</f>
        <v>4.4841600000000002E-2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0.97852945357176691</v>
      </c>
      <c r="R14" s="281">
        <f>ROUND(VLOOKUP(MID($E14,4,3),'Wochentag F(WT)'!$B$7:$J$22,R$9,0),4)</f>
        <v>1.0358000000000001</v>
      </c>
      <c r="S14" s="281">
        <f>ROUND(VLOOKUP(MID($E14,4,3),'Wochentag F(WT)'!$B$7:$J$22,S$9,0),4)</f>
        <v>1.0232000000000001</v>
      </c>
      <c r="T14" s="281">
        <f>ROUND(VLOOKUP(MID($E14,4,3),'Wochentag F(WT)'!$B$7:$J$22,T$9,0),4)</f>
        <v>1.0251999999999999</v>
      </c>
      <c r="U14" s="281">
        <f>ROUND(VLOOKUP(MID($E14,4,3),'Wochentag F(WT)'!$B$7:$J$22,U$9,0),4)</f>
        <v>1.0295000000000001</v>
      </c>
      <c r="V14" s="281">
        <f>ROUND(VLOOKUP(MID($E14,4,3),'Wochentag F(WT)'!$B$7:$J$22,V$9,0),4)</f>
        <v>1.0253000000000001</v>
      </c>
      <c r="W14" s="281">
        <f>ROUND(VLOOKUP(MID($E14,4,3),'Wochentag F(WT)'!$B$7:$J$22,W$9,0),4)</f>
        <v>0.96750000000000003</v>
      </c>
      <c r="X14" s="282">
        <f t="shared" si="2"/>
        <v>0.89350000000000041</v>
      </c>
      <c r="Y14" s="303"/>
      <c r="Z14" s="212"/>
    </row>
    <row r="15" spans="2:26" s="143" customFormat="1">
      <c r="B15" s="144">
        <v>4</v>
      </c>
      <c r="C15" s="145" t="str">
        <f t="shared" si="0"/>
        <v>Stadtwerk Haßfurt Netzgebiet 1</v>
      </c>
      <c r="D15" s="62" t="s">
        <v>248</v>
      </c>
      <c r="E15" s="165" t="s">
        <v>670</v>
      </c>
      <c r="F15" s="307" t="str">
        <f>VLOOKUP($E15,'BDEW-Standard'!$B$3:$M$94,F$9,0)</f>
        <v>MK3</v>
      </c>
      <c r="H15" s="278">
        <f>ROUND(VLOOKUP($E15,'BDEW-Standard'!$B$3:$M$94,H$9,0),7)</f>
        <v>2.7882424000000001</v>
      </c>
      <c r="I15" s="278">
        <f>ROUND(VLOOKUP($E15,'BDEW-Standard'!$B$3:$M$94,I$9,0),7)</f>
        <v>-34.880612999999997</v>
      </c>
      <c r="J15" s="278">
        <f>ROUND(VLOOKUP($E15,'BDEW-Standard'!$B$3:$M$94,J$9,0),7)</f>
        <v>6.5951899000000003</v>
      </c>
      <c r="K15" s="278">
        <f>ROUND(VLOOKUP($E15,'BDEW-Standard'!$B$3:$M$94,K$9,0),7)</f>
        <v>5.4032900000000002E-2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1.0622306107520199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Stadtwerk Haßfurt Netzgebiet 1</v>
      </c>
      <c r="D16" s="62" t="s">
        <v>248</v>
      </c>
      <c r="E16" s="165" t="s">
        <v>671</v>
      </c>
      <c r="F16" s="307" t="str">
        <f>VLOOKUP($E16,'BDEW-Standard'!$B$3:$M$94,F$9,0)</f>
        <v>KO3</v>
      </c>
      <c r="H16" s="278">
        <f>ROUND(VLOOKUP($E16,'BDEW-Standard'!$B$3:$M$94,H$9,0),7)</f>
        <v>2.7172288</v>
      </c>
      <c r="I16" s="278">
        <f>ROUND(VLOOKUP($E16,'BDEW-Standard'!$B$3:$M$94,I$9,0),7)</f>
        <v>-35.141256300000002</v>
      </c>
      <c r="J16" s="278">
        <f>ROUND(VLOOKUP($E16,'BDEW-Standard'!$B$3:$M$94,J$9,0),7)</f>
        <v>7.1303394999999998</v>
      </c>
      <c r="K16" s="278">
        <f>ROUND(VLOOKUP($E16,'BDEW-Standard'!$B$3:$M$94,K$9,0),7)</f>
        <v>0.14184720000000001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1.0630299199876638</v>
      </c>
      <c r="R16" s="281">
        <f>ROUND(VLOOKUP(MID($E16,4,3),'Wochentag F(WT)'!$B$7:$J$22,R$9,0),4)</f>
        <v>1.0354000000000001</v>
      </c>
      <c r="S16" s="281">
        <f>ROUND(VLOOKUP(MID($E16,4,3),'Wochentag F(WT)'!$B$7:$J$22,S$9,0),4)</f>
        <v>1.0523</v>
      </c>
      <c r="T16" s="281">
        <f>ROUND(VLOOKUP(MID($E16,4,3),'Wochentag F(WT)'!$B$7:$J$22,T$9,0),4)</f>
        <v>1.0448999999999999</v>
      </c>
      <c r="U16" s="281">
        <f>ROUND(VLOOKUP(MID($E16,4,3),'Wochentag F(WT)'!$B$7:$J$22,U$9,0),4)</f>
        <v>1.0494000000000001</v>
      </c>
      <c r="V16" s="281">
        <f>ROUND(VLOOKUP(MID($E16,4,3),'Wochentag F(WT)'!$B$7:$J$22,V$9,0),4)</f>
        <v>0.98850000000000005</v>
      </c>
      <c r="W16" s="281">
        <f>ROUND(VLOOKUP(MID($E16,4,3),'Wochentag F(WT)'!$B$7:$J$22,W$9,0),4)</f>
        <v>0.88600000000000001</v>
      </c>
      <c r="X16" s="282">
        <f t="shared" si="2"/>
        <v>0.94349999999999934</v>
      </c>
      <c r="Y16" s="303"/>
      <c r="Z16" s="212"/>
    </row>
    <row r="17" spans="2:26" s="143" customFormat="1">
      <c r="B17" s="144">
        <v>6</v>
      </c>
      <c r="C17" s="145" t="str">
        <f t="shared" si="0"/>
        <v>Stadtwerk Haßfurt Netzgebiet 1</v>
      </c>
      <c r="D17" s="62" t="s">
        <v>248</v>
      </c>
      <c r="E17" s="165" t="s">
        <v>672</v>
      </c>
      <c r="F17" s="307" t="str">
        <f>VLOOKUP($E17,'BDEW-Standard'!$B$3:$M$94,F$9,0)</f>
        <v>BD3</v>
      </c>
      <c r="H17" s="278">
        <f>ROUND(VLOOKUP($E17,'BDEW-Standard'!$B$3:$M$94,H$9,0),7)</f>
        <v>2.9177027</v>
      </c>
      <c r="I17" s="278">
        <f>ROUND(VLOOKUP($E17,'BDEW-Standard'!$B$3:$M$94,I$9,0),7)</f>
        <v>-36.179411700000003</v>
      </c>
      <c r="J17" s="278">
        <f>ROUND(VLOOKUP($E17,'BDEW-Standard'!$B$3:$M$94,J$9,0),7)</f>
        <v>5.9265162</v>
      </c>
      <c r="K17" s="278">
        <f>ROUND(VLOOKUP($E17,'BDEW-Standard'!$B$3:$M$94,K$9,0),7)</f>
        <v>0.11519119999999999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1.0656106174494469</v>
      </c>
      <c r="R17" s="281">
        <f>ROUND(VLOOKUP(MID($E17,4,3),'Wochentag F(WT)'!$B$7:$J$22,R$9,0),4)</f>
        <v>1.1052</v>
      </c>
      <c r="S17" s="281">
        <f>ROUND(VLOOKUP(MID($E17,4,3),'Wochentag F(WT)'!$B$7:$J$22,S$9,0),4)</f>
        <v>1.0857000000000001</v>
      </c>
      <c r="T17" s="281">
        <f>ROUND(VLOOKUP(MID($E17,4,3),'Wochentag F(WT)'!$B$7:$J$22,T$9,0),4)</f>
        <v>1.0378000000000001</v>
      </c>
      <c r="U17" s="281">
        <f>ROUND(VLOOKUP(MID($E17,4,3),'Wochentag F(WT)'!$B$7:$J$22,U$9,0),4)</f>
        <v>1.0622</v>
      </c>
      <c r="V17" s="281">
        <f>ROUND(VLOOKUP(MID($E17,4,3),'Wochentag F(WT)'!$B$7:$J$22,V$9,0),4)</f>
        <v>1.0266</v>
      </c>
      <c r="W17" s="281">
        <f>ROUND(VLOOKUP(MID($E17,4,3),'Wochentag F(WT)'!$B$7:$J$22,W$9,0),4)</f>
        <v>0.76290000000000002</v>
      </c>
      <c r="X17" s="282">
        <f t="shared" si="2"/>
        <v>0.91959999999999997</v>
      </c>
      <c r="Y17" s="303"/>
      <c r="Z17" s="212"/>
    </row>
    <row r="18" spans="2:26" s="143" customFormat="1">
      <c r="B18" s="144">
        <v>7</v>
      </c>
      <c r="C18" s="145" t="str">
        <f t="shared" si="0"/>
        <v>Stadtwerk Haßfurt Netzgebiet 1</v>
      </c>
      <c r="D18" s="62" t="s">
        <v>248</v>
      </c>
      <c r="E18" s="165" t="s">
        <v>673</v>
      </c>
      <c r="F18" s="307" t="str">
        <f>VLOOKUP($E18,'BDEW-Standard'!$B$3:$M$94,F$9,0)</f>
        <v>GA3</v>
      </c>
      <c r="H18" s="278">
        <f>ROUND(VLOOKUP($E18,'BDEW-Standard'!$B$3:$M$94,H$9,0),7)</f>
        <v>2.2850164999999998</v>
      </c>
      <c r="I18" s="278">
        <f>ROUND(VLOOKUP($E18,'BDEW-Standard'!$B$3:$M$94,I$9,0),7)</f>
        <v>-36.287858399999998</v>
      </c>
      <c r="J18" s="278">
        <f>ROUND(VLOOKUP($E18,'BDEW-Standard'!$B$3:$M$94,J$9,0),7)</f>
        <v>6.5885125999999996</v>
      </c>
      <c r="K18" s="278">
        <f>ROUND(VLOOKUP($E18,'BDEW-Standard'!$B$3:$M$94,K$9,0),7)</f>
        <v>0.31505349999999999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1.0096183914256316</v>
      </c>
      <c r="R18" s="281">
        <f>ROUND(VLOOKUP(MID($E18,4,3),'Wochentag F(WT)'!$B$7:$J$22,R$9,0),4)</f>
        <v>0.93220000000000003</v>
      </c>
      <c r="S18" s="281">
        <f>ROUND(VLOOKUP(MID($E18,4,3),'Wochentag F(WT)'!$B$7:$J$22,S$9,0),4)</f>
        <v>0.98939999999999995</v>
      </c>
      <c r="T18" s="281">
        <f>ROUND(VLOOKUP(MID($E18,4,3),'Wochentag F(WT)'!$B$7:$J$22,T$9,0),4)</f>
        <v>1.0033000000000001</v>
      </c>
      <c r="U18" s="281">
        <f>ROUND(VLOOKUP(MID($E18,4,3),'Wochentag F(WT)'!$B$7:$J$22,U$9,0),4)</f>
        <v>1.0108999999999999</v>
      </c>
      <c r="V18" s="281">
        <f>ROUND(VLOOKUP(MID($E18,4,3),'Wochentag F(WT)'!$B$7:$J$22,V$9,0),4)</f>
        <v>1.018</v>
      </c>
      <c r="W18" s="281">
        <f>ROUND(VLOOKUP(MID($E18,4,3),'Wochentag F(WT)'!$B$7:$J$22,W$9,0),4)</f>
        <v>1.0356000000000001</v>
      </c>
      <c r="X18" s="282">
        <f t="shared" si="2"/>
        <v>1.0106000000000002</v>
      </c>
      <c r="Y18" s="303"/>
      <c r="Z18" s="212"/>
    </row>
    <row r="19" spans="2:26" s="143" customFormat="1">
      <c r="B19" s="144">
        <v>8</v>
      </c>
      <c r="C19" s="145" t="str">
        <f t="shared" si="0"/>
        <v>Stadtwerk Haßfurt Netzgebiet 1</v>
      </c>
      <c r="D19" s="62" t="s">
        <v>248</v>
      </c>
      <c r="E19" s="165" t="s">
        <v>674</v>
      </c>
      <c r="F19" s="307" t="str">
        <f>VLOOKUP($E19,'BDEW-Standard'!$B$3:$M$94,F$9,0)</f>
        <v>BH3</v>
      </c>
      <c r="H19" s="278">
        <f>ROUND(VLOOKUP($E19,'BDEW-Standard'!$B$3:$M$94,H$9,0),7)</f>
        <v>2.0102471999999998</v>
      </c>
      <c r="I19" s="278">
        <f>ROUND(VLOOKUP($E19,'BDEW-Standard'!$B$3:$M$94,I$9,0),7)</f>
        <v>-35.253212400000002</v>
      </c>
      <c r="J19" s="278">
        <f>ROUND(VLOOKUP($E19,'BDEW-Standard'!$B$3:$M$94,J$9,0),7)</f>
        <v>6.1544406</v>
      </c>
      <c r="K19" s="278">
        <f>ROUND(VLOOKUP($E19,'BDEW-Standard'!$B$3:$M$94,K$9,0),7)</f>
        <v>0.32947409999999999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1.0436896084076008</v>
      </c>
      <c r="R19" s="281">
        <f>ROUND(VLOOKUP(MID($E19,4,3),'Wochentag F(WT)'!$B$7:$J$22,R$9,0),4)</f>
        <v>0.97670000000000001</v>
      </c>
      <c r="S19" s="281">
        <f>ROUND(VLOOKUP(MID($E19,4,3),'Wochentag F(WT)'!$B$7:$J$22,S$9,0),4)</f>
        <v>1.0388999999999999</v>
      </c>
      <c r="T19" s="281">
        <f>ROUND(VLOOKUP(MID($E19,4,3),'Wochentag F(WT)'!$B$7:$J$22,T$9,0),4)</f>
        <v>1.0027999999999999</v>
      </c>
      <c r="U19" s="281">
        <f>ROUND(VLOOKUP(MID($E19,4,3),'Wochentag F(WT)'!$B$7:$J$22,U$9,0),4)</f>
        <v>1.0162</v>
      </c>
      <c r="V19" s="281">
        <f>ROUND(VLOOKUP(MID($E19,4,3),'Wochentag F(WT)'!$B$7:$J$22,V$9,0),4)</f>
        <v>1.0024</v>
      </c>
      <c r="W19" s="281">
        <f>ROUND(VLOOKUP(MID($E19,4,3),'Wochentag F(WT)'!$B$7:$J$22,W$9,0),4)</f>
        <v>1.0043</v>
      </c>
      <c r="X19" s="282">
        <f t="shared" si="2"/>
        <v>0.95870000000000122</v>
      </c>
      <c r="Y19" s="303"/>
      <c r="Z19" s="212"/>
    </row>
    <row r="20" spans="2:26" s="143" customFormat="1">
      <c r="B20" s="144">
        <v>9</v>
      </c>
      <c r="C20" s="145" t="str">
        <f t="shared" si="0"/>
        <v>Stadtwerk Haßfurt Netzgebiet 1</v>
      </c>
      <c r="D20" s="62" t="s">
        <v>248</v>
      </c>
      <c r="E20" s="165" t="s">
        <v>675</v>
      </c>
      <c r="F20" s="307" t="str">
        <f>VLOOKUP($E20,'BDEW-Standard'!$B$3:$M$94,F$9,0)</f>
        <v>WA3</v>
      </c>
      <c r="H20" s="278">
        <f>ROUND(VLOOKUP($E20,'BDEW-Standard'!$B$3:$M$94,H$9,0),7)</f>
        <v>0.76572899999999999</v>
      </c>
      <c r="I20" s="278">
        <f>ROUND(VLOOKUP($E20,'BDEW-Standard'!$B$3:$M$94,I$9,0),7)</f>
        <v>-36.023791199999998</v>
      </c>
      <c r="J20" s="278">
        <f>ROUND(VLOOKUP($E20,'BDEW-Standard'!$B$3:$M$94,J$9,0),7)</f>
        <v>4.8662747</v>
      </c>
      <c r="K20" s="278">
        <f>ROUND(VLOOKUP($E20,'BDEW-Standard'!$B$3:$M$94,K$9,0),7)</f>
        <v>0.80494250000000001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1.0804258319686442</v>
      </c>
      <c r="R20" s="281">
        <f>ROUND(VLOOKUP(MID($E20,4,3),'Wochentag F(WT)'!$B$7:$J$22,R$9,0),4)</f>
        <v>1.2457</v>
      </c>
      <c r="S20" s="281">
        <f>ROUND(VLOOKUP(MID($E20,4,3),'Wochentag F(WT)'!$B$7:$J$22,S$9,0),4)</f>
        <v>1.2615000000000001</v>
      </c>
      <c r="T20" s="281">
        <f>ROUND(VLOOKUP(MID($E20,4,3),'Wochentag F(WT)'!$B$7:$J$22,T$9,0),4)</f>
        <v>1.2706999999999999</v>
      </c>
      <c r="U20" s="281">
        <f>ROUND(VLOOKUP(MID($E20,4,3),'Wochentag F(WT)'!$B$7:$J$22,U$9,0),4)</f>
        <v>1.2430000000000001</v>
      </c>
      <c r="V20" s="281">
        <f>ROUND(VLOOKUP(MID($E20,4,3),'Wochentag F(WT)'!$B$7:$J$22,V$9,0),4)</f>
        <v>1.1275999999999999</v>
      </c>
      <c r="W20" s="281">
        <f>ROUND(VLOOKUP(MID($E20,4,3),'Wochentag F(WT)'!$B$7:$J$22,W$9,0),4)</f>
        <v>0.38769999999999999</v>
      </c>
      <c r="X20" s="282">
        <f t="shared" si="2"/>
        <v>0.46379999999999999</v>
      </c>
      <c r="Y20" s="303"/>
      <c r="Z20" s="212"/>
    </row>
    <row r="21" spans="2:26" s="143" customFormat="1">
      <c r="B21" s="144">
        <v>10</v>
      </c>
      <c r="C21" s="145" t="str">
        <f t="shared" si="0"/>
        <v>Stadtwerk Haßfurt Netzgebiet 1</v>
      </c>
      <c r="D21" s="62" t="s">
        <v>248</v>
      </c>
      <c r="E21" s="165" t="s">
        <v>676</v>
      </c>
      <c r="F21" s="307" t="str">
        <f>VLOOKUP($E21,'BDEW-Standard'!$B$3:$M$94,F$9,0)</f>
        <v>GB3</v>
      </c>
      <c r="H21" s="278">
        <f>ROUND(VLOOKUP($E21,'BDEW-Standard'!$B$3:$M$94,H$9,0),7)</f>
        <v>3.2572741999999999</v>
      </c>
      <c r="I21" s="278">
        <f>ROUND(VLOOKUP($E21,'BDEW-Standard'!$B$3:$M$94,I$9,0),7)</f>
        <v>-37.5</v>
      </c>
      <c r="J21" s="278">
        <f>ROUND(VLOOKUP($E21,'BDEW-Standard'!$B$3:$M$94,J$9,0),7)</f>
        <v>6.3462148000000003</v>
      </c>
      <c r="K21" s="278">
        <f>ROUND(VLOOKUP($E21,'BDEW-Standard'!$B$3:$M$94,K$9,0),7)</f>
        <v>8.6622699999999997E-2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0.9584556323619029</v>
      </c>
      <c r="R21" s="281">
        <f>ROUND(VLOOKUP(MID($E21,4,3),'Wochentag F(WT)'!$B$7:$J$22,R$9,0),4)</f>
        <v>0.98970000000000002</v>
      </c>
      <c r="S21" s="281">
        <f>ROUND(VLOOKUP(MID($E21,4,3),'Wochentag F(WT)'!$B$7:$J$22,S$9,0),4)</f>
        <v>0.9627</v>
      </c>
      <c r="T21" s="281">
        <f>ROUND(VLOOKUP(MID($E21,4,3),'Wochentag F(WT)'!$B$7:$J$22,T$9,0),4)</f>
        <v>1.0507</v>
      </c>
      <c r="U21" s="281">
        <f>ROUND(VLOOKUP(MID($E21,4,3),'Wochentag F(WT)'!$B$7:$J$22,U$9,0),4)</f>
        <v>1.0551999999999999</v>
      </c>
      <c r="V21" s="281">
        <f>ROUND(VLOOKUP(MID($E21,4,3),'Wochentag F(WT)'!$B$7:$J$22,V$9,0),4)</f>
        <v>1.0297000000000001</v>
      </c>
      <c r="W21" s="281">
        <f>ROUND(VLOOKUP(MID($E21,4,3),'Wochentag F(WT)'!$B$7:$J$22,W$9,0),4)</f>
        <v>0.97670000000000001</v>
      </c>
      <c r="X21" s="282">
        <f t="shared" si="2"/>
        <v>0.9352999999999998</v>
      </c>
      <c r="Y21" s="303"/>
      <c r="Z21" s="212"/>
    </row>
    <row r="22" spans="2:26" s="143" customFormat="1">
      <c r="B22" s="144">
        <v>11</v>
      </c>
      <c r="C22" s="145" t="str">
        <f t="shared" si="0"/>
        <v>Stadtwerk Haßfurt Netzgebiet 1</v>
      </c>
      <c r="D22" s="62" t="s">
        <v>248</v>
      </c>
      <c r="E22" s="165" t="s">
        <v>677</v>
      </c>
      <c r="F22" s="307" t="str">
        <f>VLOOKUP($E22,'BDEW-Standard'!$B$3:$M$94,F$9,0)</f>
        <v>BA3</v>
      </c>
      <c r="H22" s="278">
        <f>ROUND(VLOOKUP($E22,'BDEW-Standard'!$B$3:$M$94,H$9,0),7)</f>
        <v>0.62619619999999998</v>
      </c>
      <c r="I22" s="278">
        <f>ROUND(VLOOKUP($E22,'BDEW-Standard'!$B$3:$M$94,I$9,0),7)</f>
        <v>-33</v>
      </c>
      <c r="J22" s="278">
        <f>ROUND(VLOOKUP($E22,'BDEW-Standard'!$B$3:$M$94,J$9,0),7)</f>
        <v>5.7212303000000002</v>
      </c>
      <c r="K22" s="278">
        <f>ROUND(VLOOKUP($E22,'BDEW-Standard'!$B$3:$M$94,K$9,0),7)</f>
        <v>0.78556550000000003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1.0711738317583412</v>
      </c>
      <c r="R22" s="281">
        <f>ROUND(VLOOKUP(MID($E22,4,3),'Wochentag F(WT)'!$B$7:$J$22,R$9,0),4)</f>
        <v>1.0848</v>
      </c>
      <c r="S22" s="281">
        <f>ROUND(VLOOKUP(MID($E22,4,3),'Wochentag F(WT)'!$B$7:$J$22,S$9,0),4)</f>
        <v>1.1211</v>
      </c>
      <c r="T22" s="281">
        <f>ROUND(VLOOKUP(MID($E22,4,3),'Wochentag F(WT)'!$B$7:$J$22,T$9,0),4)</f>
        <v>1.0769</v>
      </c>
      <c r="U22" s="281">
        <f>ROUND(VLOOKUP(MID($E22,4,3),'Wochentag F(WT)'!$B$7:$J$22,U$9,0),4)</f>
        <v>1.1353</v>
      </c>
      <c r="V22" s="281">
        <f>ROUND(VLOOKUP(MID($E22,4,3),'Wochentag F(WT)'!$B$7:$J$22,V$9,0),4)</f>
        <v>1.1402000000000001</v>
      </c>
      <c r="W22" s="281">
        <f>ROUND(VLOOKUP(MID($E22,4,3),'Wochentag F(WT)'!$B$7:$J$22,W$9,0),4)</f>
        <v>0.48520000000000002</v>
      </c>
      <c r="X22" s="282">
        <f t="shared" si="2"/>
        <v>0.95650000000000013</v>
      </c>
      <c r="Y22" s="303"/>
      <c r="Z22" s="212"/>
    </row>
    <row r="23" spans="2:26" s="143" customFormat="1">
      <c r="B23" s="144">
        <v>12</v>
      </c>
      <c r="C23" s="145" t="str">
        <f t="shared" si="0"/>
        <v>Stadtwerk Haßfurt Netzgebiet 1</v>
      </c>
      <c r="D23" s="62" t="s">
        <v>248</v>
      </c>
      <c r="E23" s="165" t="s">
        <v>668</v>
      </c>
      <c r="F23" s="307" t="str">
        <f>VLOOKUP($E23,'BDEW-Standard'!$B$3:$M$94,F$9,0)</f>
        <v>PD3</v>
      </c>
      <c r="H23" s="278">
        <f>ROUND(VLOOKUP($E23,'BDEW-Standard'!$B$3:$M$94,H$9,0),7)</f>
        <v>3.2</v>
      </c>
      <c r="I23" s="278">
        <f>ROUND(VLOOKUP($E23,'BDEW-Standard'!$B$3:$M$94,I$9,0),7)</f>
        <v>-35.799999999999997</v>
      </c>
      <c r="J23" s="278">
        <f>ROUND(VLOOKUP($E23,'BDEW-Standard'!$B$3:$M$94,J$9,0),7)</f>
        <v>8.4</v>
      </c>
      <c r="K23" s="278">
        <f>ROUND(VLOOKUP($E23,'BDEW-Standard'!$B$3:$M$94,K$9,0),7)</f>
        <v>9.3848600000000004E-2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0.99106250024889242</v>
      </c>
      <c r="R23" s="281">
        <f>ROUND(VLOOKUP(MID($E23,4,3),'Wochentag F(WT)'!$B$7:$J$22,R$9,0),4)</f>
        <v>1.0214000000000001</v>
      </c>
      <c r="S23" s="281">
        <f>ROUND(VLOOKUP(MID($E23,4,3),'Wochentag F(WT)'!$B$7:$J$22,S$9,0),4)</f>
        <v>1.0866</v>
      </c>
      <c r="T23" s="281">
        <f>ROUND(VLOOKUP(MID($E23,4,3),'Wochentag F(WT)'!$B$7:$J$22,T$9,0),4)</f>
        <v>1.0720000000000001</v>
      </c>
      <c r="U23" s="281">
        <f>ROUND(VLOOKUP(MID($E23,4,3),'Wochentag F(WT)'!$B$7:$J$22,U$9,0),4)</f>
        <v>1.0557000000000001</v>
      </c>
      <c r="V23" s="281">
        <f>ROUND(VLOOKUP(MID($E23,4,3),'Wochentag F(WT)'!$B$7:$J$22,V$9,0),4)</f>
        <v>1.0117</v>
      </c>
      <c r="W23" s="281">
        <f>ROUND(VLOOKUP(MID($E23,4,3),'Wochentag F(WT)'!$B$7:$J$22,W$9,0),4)</f>
        <v>0.90010000000000001</v>
      </c>
      <c r="X23" s="282">
        <f t="shared" si="2"/>
        <v>0.85249999999999915</v>
      </c>
      <c r="Y23" s="303"/>
      <c r="Z23" s="212"/>
    </row>
    <row r="24" spans="2:26" s="143" customFormat="1">
      <c r="B24" s="144"/>
      <c r="C24" s="145"/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/>
      <c r="C25" s="145"/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/>
      <c r="C26" s="145"/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Stadtwerk Haßfurt Netzgebiet 1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Stadtwerk Haßfurt Netzgebiet 1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Stadtwerk Haßfurt Netzgebiet 1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Stadtwerk Haßfurt Netzgebiet 1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Stadtwerk Haßfurt Netzgebiet 1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Stadtwerk Haßfurt Netzgebiet 1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Stadtwerk Haßfurt Netzgebiet 1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Stadtwerk Haßfurt Netzgebiet 1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Stadtwerk Haßfurt Netzgebiet 1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Stadtwerk Haßfurt Netzgebiet 1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Stadtwerk Haßfurt Netzgebiet 1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Stadtwerk Haßfurt Netzgebiet 1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Stadtwerk Haßfurt Netzgebiet 1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Stadtwerk Haßfurt Netzgebiet 1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Stadtwerk Haßfurt Netzgebiet 1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abSelected="1" topLeftCell="A7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 Haßfurt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Stadtwerk Haßfurt Netzgebiet 1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9870029700001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44835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6" t="s">
        <v>455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1" t="s">
        <v>582</v>
      </c>
      <c r="C10" s="362"/>
      <c r="D10" s="94">
        <v>2</v>
      </c>
      <c r="E10" s="95" t="str">
        <f>IF(ISERROR(HLOOKUP(E$11,$M$9:$AD$35,$D10,0)),"",HLOOKUP(E$11,$M$9:$AD$35,$D10,0))</f>
        <v/>
      </c>
      <c r="F10" s="359" t="s">
        <v>395</v>
      </c>
      <c r="G10" s="359"/>
      <c r="H10" s="359"/>
      <c r="I10" s="359"/>
      <c r="J10" s="359"/>
      <c r="K10" s="359"/>
      <c r="L10" s="360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63" t="s">
        <v>249</v>
      </c>
      <c r="B3" s="238" t="s">
        <v>86</v>
      </c>
      <c r="C3" s="239"/>
      <c r="D3" s="365" t="s">
        <v>454</v>
      </c>
      <c r="E3" s="366"/>
      <c r="F3" s="366"/>
      <c r="G3" s="366"/>
      <c r="H3" s="366"/>
      <c r="I3" s="366"/>
      <c r="J3" s="367"/>
      <c r="K3" s="240"/>
      <c r="L3" s="240"/>
      <c r="M3" s="240"/>
      <c r="N3" s="240"/>
      <c r="O3" s="241"/>
      <c r="P3" s="240"/>
    </row>
    <row r="4" spans="1:16" ht="20.100000000000001" customHeight="1">
      <c r="A4" s="364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18b9f00-f4e5-4488-840e-6084e0f110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Hannah Vollert</cp:lastModifiedBy>
  <cp:lastPrinted>2015-03-20T22:59:10Z</cp:lastPrinted>
  <dcterms:created xsi:type="dcterms:W3CDTF">2015-01-15T05:25:41Z</dcterms:created>
  <dcterms:modified xsi:type="dcterms:W3CDTF">2022-09-13T11:13:48Z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